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120" windowWidth="13605" windowHeight="8235" activeTab="0"/>
  </bookViews>
  <sheets>
    <sheet name="Μόρια" sheetId="1" r:id="rId1"/>
    <sheet name="Βοηθ" sheetId="2" state="hidden" r:id="rId2"/>
  </sheets>
  <definedNames>
    <definedName name="Z_212A0A96_D9FA_494F_ABE0_1CF5E84657E3_.wvu.FilterData" localSheetId="0" hidden="1">'Μόρια'!$C$10:$C$11</definedName>
  </definedNames>
  <calcPr fullCalcOnLoad="1"/>
</workbook>
</file>

<file path=xl/comments1.xml><?xml version="1.0" encoding="utf-8"?>
<comments xmlns="http://schemas.openxmlformats.org/spreadsheetml/2006/main">
  <authors>
    <author>Thetakis</author>
  </authors>
  <commentList>
    <comment ref="C3" authorId="0">
      <text>
        <r>
          <rPr>
            <b/>
            <u val="single"/>
            <sz val="12"/>
            <color indexed="18"/>
            <rFont val="Tahoma"/>
            <family val="2"/>
          </rPr>
          <t xml:space="preserve">Κατεύθυνση
</t>
        </r>
        <r>
          <rPr>
            <i/>
            <sz val="12"/>
            <rFont val="Tahoma"/>
            <family val="2"/>
          </rPr>
          <t>(</t>
        </r>
        <r>
          <rPr>
            <b/>
            <i/>
            <sz val="12"/>
            <rFont val="Tahoma"/>
            <family val="2"/>
          </rPr>
          <t>επιλέξτε τον αριθμό για την Κατεύθυνση που σας ενδιαφέρει)</t>
        </r>
        <r>
          <rPr>
            <b/>
            <sz val="12"/>
            <color indexed="18"/>
            <rFont val="Tahoma"/>
            <family val="2"/>
          </rPr>
          <t xml:space="preserve">
Θεωρητική</t>
        </r>
        <r>
          <rPr>
            <b/>
            <sz val="12"/>
            <color indexed="10"/>
            <rFont val="Tahoma"/>
            <family val="2"/>
          </rPr>
          <t xml:space="preserve">  </t>
        </r>
        <r>
          <rPr>
            <b/>
            <sz val="12"/>
            <color indexed="18"/>
            <rFont val="Tahoma"/>
            <family val="2"/>
          </rPr>
          <t>το:</t>
        </r>
        <r>
          <rPr>
            <b/>
            <sz val="12"/>
            <color indexed="10"/>
            <rFont val="Tahoma"/>
            <family val="2"/>
          </rPr>
          <t xml:space="preserve">     </t>
        </r>
        <r>
          <rPr>
            <b/>
            <sz val="14"/>
            <color indexed="10"/>
            <rFont val="Tahoma"/>
            <family val="2"/>
          </rPr>
          <t xml:space="preserve">  </t>
        </r>
        <r>
          <rPr>
            <b/>
            <sz val="14"/>
            <color indexed="18"/>
            <rFont val="Tahoma"/>
            <family val="2"/>
          </rPr>
          <t>1</t>
        </r>
        <r>
          <rPr>
            <b/>
            <sz val="12"/>
            <color indexed="18"/>
            <rFont val="Tahoma"/>
            <family val="2"/>
          </rPr>
          <t xml:space="preserve">
Θετική</t>
        </r>
        <r>
          <rPr>
            <b/>
            <sz val="12"/>
            <color indexed="60"/>
            <rFont val="Tahoma"/>
            <family val="2"/>
          </rPr>
          <t xml:space="preserve">  </t>
        </r>
        <r>
          <rPr>
            <b/>
            <sz val="12"/>
            <color indexed="18"/>
            <rFont val="Tahoma"/>
            <family val="2"/>
          </rPr>
          <t>το:</t>
        </r>
        <r>
          <rPr>
            <b/>
            <sz val="12"/>
            <color indexed="60"/>
            <rFont val="Tahoma"/>
            <family val="2"/>
          </rPr>
          <t xml:space="preserve">              </t>
        </r>
        <r>
          <rPr>
            <b/>
            <sz val="14"/>
            <color indexed="18"/>
            <rFont val="Tahoma"/>
            <family val="2"/>
          </rPr>
          <t>2</t>
        </r>
        <r>
          <rPr>
            <b/>
            <sz val="12"/>
            <color indexed="60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 xml:space="preserve">Τεχνολογική (Κύκλος Πληροφορικής) το: </t>
        </r>
        <r>
          <rPr>
            <b/>
            <sz val="14"/>
            <color indexed="18"/>
            <rFont val="Tahoma"/>
            <family val="2"/>
          </rPr>
          <t>3</t>
        </r>
        <r>
          <rPr>
            <b/>
            <sz val="12"/>
            <color indexed="18"/>
            <rFont val="Tahoma"/>
            <family val="2"/>
          </rPr>
          <t xml:space="preserve">
Τεχνολογική (Κύκλος Τεχνολογίας) το:</t>
        </r>
        <r>
          <rPr>
            <b/>
            <sz val="12"/>
            <color indexed="53"/>
            <rFont val="Tahoma"/>
            <family val="2"/>
          </rPr>
          <t xml:space="preserve">  </t>
        </r>
        <r>
          <rPr>
            <b/>
            <sz val="14"/>
            <color indexed="18"/>
            <rFont val="Tahoma"/>
            <family val="2"/>
          </rPr>
          <t>4</t>
        </r>
      </text>
    </comment>
    <comment ref="C5" authorId="0">
      <text>
        <r>
          <rPr>
            <b/>
            <u val="single"/>
            <sz val="12"/>
            <color indexed="18"/>
            <rFont val="Tahoma"/>
            <family val="2"/>
          </rPr>
          <t xml:space="preserve">Μάθημα επιλογής
</t>
        </r>
        <r>
          <rPr>
            <i/>
            <sz val="12"/>
            <rFont val="Tahoma"/>
            <family val="2"/>
          </rPr>
          <t>(</t>
        </r>
        <r>
          <rPr>
            <b/>
            <i/>
            <sz val="12"/>
            <rFont val="Tahoma"/>
            <family val="2"/>
          </rPr>
          <t>επιλέξτε τον αριθμό για το μάθημα που σας ενδιαφέρει)</t>
        </r>
        <r>
          <rPr>
            <b/>
            <sz val="12"/>
            <rFont val="Tahoma"/>
            <family val="2"/>
          </rPr>
          <t xml:space="preserve">:
</t>
        </r>
        <r>
          <rPr>
            <b/>
            <sz val="12"/>
            <color indexed="18"/>
            <rFont val="Tahoma"/>
            <family val="2"/>
          </rPr>
          <t xml:space="preserve">Νεότερη Ελληνική Ιστορία: 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4"/>
            <rFont val="Tahoma"/>
            <family val="2"/>
          </rPr>
          <t>1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>Μαθηματικά και Στοιχεία Στατιστικής:</t>
        </r>
        <r>
          <rPr>
            <b/>
            <sz val="12"/>
            <rFont val="Tahoma"/>
            <family val="2"/>
          </rPr>
          <t xml:space="preserve">  </t>
        </r>
        <r>
          <rPr>
            <b/>
            <sz val="14"/>
            <rFont val="Tahoma"/>
            <family val="2"/>
          </rPr>
          <t>2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 xml:space="preserve">Βιολογία: </t>
        </r>
        <r>
          <rPr>
            <b/>
            <sz val="14"/>
            <rFont val="Tahoma"/>
            <family val="2"/>
          </rPr>
          <t xml:space="preserve"> 3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>Φυσική:</t>
        </r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b/>
            <sz val="14"/>
            <rFont val="Tahoma"/>
            <family val="2"/>
          </rPr>
          <t xml:space="preserve"> 4</t>
        </r>
      </text>
    </comment>
    <comment ref="E4" authorId="0">
      <text>
        <r>
          <rPr>
            <b/>
            <sz val="14"/>
            <color indexed="10"/>
            <rFont val="Tahoma"/>
            <family val="2"/>
          </rPr>
          <t>1.</t>
        </r>
        <r>
          <rPr>
            <b/>
            <i/>
            <sz val="14"/>
            <color indexed="18"/>
            <rFont val="Tahoma"/>
            <family val="2"/>
          </rPr>
          <t xml:space="preserve"> Τοποθετούμε στο κελί D4,  αριθμό από 1 - 4,  ανάλογα με την κατεύθυνση που είμαστε.
</t>
        </r>
        <r>
          <rPr>
            <b/>
            <sz val="14"/>
            <color indexed="10"/>
            <rFont val="Tahoma"/>
            <family val="2"/>
          </rPr>
          <t>2.</t>
        </r>
        <r>
          <rPr>
            <b/>
            <i/>
            <sz val="14"/>
            <color indexed="18"/>
            <rFont val="Tahoma"/>
            <family val="2"/>
          </rPr>
          <t xml:space="preserve"> Τοποθετούμε στο κελί D6, αριθμό από 1 - 4, ανάλογα με το έκτο μάθημα που έχουμε επιλέξει για τις εξετάσεις.
</t>
        </r>
        <r>
          <rPr>
            <b/>
            <sz val="14"/>
            <color indexed="10"/>
            <rFont val="Tahoma"/>
            <family val="2"/>
          </rPr>
          <t>3.</t>
        </r>
        <r>
          <rPr>
            <b/>
            <i/>
            <sz val="14"/>
            <color indexed="18"/>
            <rFont val="Tahoma"/>
            <family val="2"/>
          </rPr>
          <t xml:space="preserve"> Τοποθετούμε τους προφορικούς βαθμούς Α΄ και Β΄ τετραμήνου και τους βαθμούς από τα γραπτά μας στα αντίστοιχα κελιά.
</t>
        </r>
        <r>
          <rPr>
            <b/>
            <sz val="14"/>
            <color indexed="10"/>
            <rFont val="Tahoma"/>
            <family val="2"/>
          </rPr>
          <t>4.</t>
        </r>
        <r>
          <rPr>
            <b/>
            <i/>
            <sz val="14"/>
            <color indexed="18"/>
            <rFont val="Tahoma"/>
            <family val="2"/>
          </rPr>
          <t xml:space="preserve"> Στην ένδειξη </t>
        </r>
        <r>
          <rPr>
            <b/>
            <i/>
            <sz val="16"/>
            <color indexed="10"/>
            <rFont val="Tahoma"/>
            <family val="2"/>
          </rPr>
          <t>Μόρια</t>
        </r>
        <r>
          <rPr>
            <b/>
            <i/>
            <sz val="14"/>
            <color indexed="18"/>
            <rFont val="Tahoma"/>
            <family val="2"/>
          </rPr>
          <t xml:space="preserve"> έχουμε τα μόρια στο κάθε επιστημονικό πεδίο που είμαστε σε θέση να δηλώσουμε.
</t>
        </r>
        <r>
          <rPr>
            <b/>
            <sz val="14"/>
            <color indexed="10"/>
            <rFont val="Tahoma"/>
            <family val="2"/>
          </rPr>
          <t>5.</t>
        </r>
        <r>
          <rPr>
            <b/>
            <i/>
            <sz val="14"/>
            <color indexed="18"/>
            <rFont val="Tahoma"/>
            <family val="2"/>
          </rPr>
          <t xml:space="preserve"> Παραλείψεις, λάθη, παρατηρήσεις,  που τυχόν προκύψουν, θα συμπεριληφθούν στο site του Kέντρου: </t>
        </r>
        <r>
          <rPr>
            <b/>
            <u val="single"/>
            <sz val="14"/>
            <color indexed="18"/>
            <rFont val="Tahoma"/>
            <family val="2"/>
          </rPr>
          <t>http://dide.ait.sch.gr/kesypagr</t>
        </r>
      </text>
    </comment>
  </commentList>
</comments>
</file>

<file path=xl/sharedStrings.xml><?xml version="1.0" encoding="utf-8"?>
<sst xmlns="http://schemas.openxmlformats.org/spreadsheetml/2006/main" count="23" uniqueCount="23">
  <si>
    <t>Επιλογή Κατεύθυνσης</t>
  </si>
  <si>
    <t>Επιλογή Μαθήματος</t>
  </si>
  <si>
    <t>Α/Α</t>
  </si>
  <si>
    <t>Μάθημα</t>
  </si>
  <si>
    <t>Γραπτά</t>
  </si>
  <si>
    <t>Βαθμός Πρόσβασης Μαθήματος</t>
  </si>
  <si>
    <t xml:space="preserve">Νεοελληνική Γλώσσα </t>
  </si>
  <si>
    <t>Αρχές Οικονομικής Θεωρίας</t>
  </si>
  <si>
    <t>ΓΕΝΙΚΟΣ ΒΑΘΜΟΣ ΠΡΟΣΒΑΣΗΣ:</t>
  </si>
  <si>
    <t>Μαθήματα Αυξημένης Βαρύτητας</t>
  </si>
  <si>
    <t>Θεωρητική Κατεύθυνση</t>
  </si>
  <si>
    <t>Θετική Κατεύθυνση</t>
  </si>
  <si>
    <r>
      <t xml:space="preserve">Τεχνολογική Κατεύθυνση </t>
    </r>
    <r>
      <rPr>
        <b/>
        <i/>
        <sz val="10"/>
        <color indexed="18"/>
        <rFont val="Arial"/>
        <family val="2"/>
      </rPr>
      <t>(Κύκλος Πληροφορικής)</t>
    </r>
  </si>
  <si>
    <r>
      <t xml:space="preserve">Τεχνολογική Κατεύθυνση </t>
    </r>
    <r>
      <rPr>
        <b/>
        <i/>
        <sz val="10"/>
        <color indexed="18"/>
        <rFont val="Arial"/>
        <family val="2"/>
      </rPr>
      <t>(Κύκλος Τεχνολογίας)</t>
    </r>
  </si>
  <si>
    <t>Μόρια</t>
  </si>
  <si>
    <t>Μαθήματα γενικής παιδείας</t>
  </si>
  <si>
    <t>Οδηγίες</t>
  </si>
  <si>
    <t>Προφορικός Α'  Τετραμήνου</t>
  </si>
  <si>
    <t>Προφορικός Β' Τετραμήνου</t>
  </si>
  <si>
    <t>Προσαρμογή Προφορικού</t>
  </si>
  <si>
    <t>Υπολογισμός Μορίων</t>
  </si>
  <si>
    <t>Δημιουργήθηκε 5/11/05 από τον Θετάκη Χρήστο, Ειδικό Πληροφόρησης του ΚΕΣΥΠ Αγρινίου</t>
  </si>
  <si>
    <t>Μ.Ο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</si>
</sst>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3">
    <font>
      <sz val="10"/>
      <name val="Arial"/>
      <family val="0"/>
    </font>
    <font>
      <sz val="8"/>
      <name val="Arial"/>
      <family val="0"/>
    </font>
    <font>
      <b/>
      <sz val="10"/>
      <color indexed="18"/>
      <name val="Tahoma"/>
      <family val="2"/>
    </font>
    <font>
      <b/>
      <sz val="12"/>
      <color indexed="18"/>
      <name val="Tahoma"/>
      <family val="2"/>
    </font>
    <font>
      <b/>
      <u val="single"/>
      <sz val="12"/>
      <color indexed="18"/>
      <name val="Tahoma"/>
      <family val="2"/>
    </font>
    <font>
      <b/>
      <sz val="12"/>
      <color indexed="10"/>
      <name val="Tahoma"/>
      <family val="2"/>
    </font>
    <font>
      <b/>
      <sz val="12"/>
      <color indexed="60"/>
      <name val="Tahoma"/>
      <family val="2"/>
    </font>
    <font>
      <b/>
      <sz val="12"/>
      <color indexed="53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i/>
      <sz val="12"/>
      <name val="Tahoma"/>
      <family val="2"/>
    </font>
    <font>
      <sz val="10"/>
      <color indexed="18"/>
      <name val="Tahoma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8"/>
      <name val="Arial"/>
      <family val="2"/>
    </font>
    <font>
      <b/>
      <i/>
      <sz val="10"/>
      <color indexed="18"/>
      <name val="Arial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4"/>
      <color indexed="18"/>
      <name val="Tahoma"/>
      <family val="2"/>
    </font>
    <font>
      <b/>
      <sz val="20"/>
      <color indexed="18"/>
      <name val="Times New Roman"/>
      <family val="1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4"/>
      <name val="Tahoma"/>
      <family val="2"/>
    </font>
    <font>
      <b/>
      <sz val="14"/>
      <color indexed="10"/>
      <name val="Tahoma"/>
      <family val="2"/>
    </font>
    <font>
      <b/>
      <sz val="16"/>
      <color indexed="10"/>
      <name val="Verdana"/>
      <family val="2"/>
    </font>
    <font>
      <b/>
      <i/>
      <sz val="14"/>
      <color indexed="18"/>
      <name val="Tahoma"/>
      <family val="2"/>
    </font>
    <font>
      <b/>
      <u val="single"/>
      <sz val="14"/>
      <color indexed="18"/>
      <name val="Tahoma"/>
      <family val="2"/>
    </font>
    <font>
      <b/>
      <sz val="14"/>
      <color indexed="10"/>
      <name val="Arial"/>
      <family val="2"/>
    </font>
    <font>
      <b/>
      <i/>
      <sz val="16"/>
      <color indexed="10"/>
      <name val="Tahoma"/>
      <family val="2"/>
    </font>
    <font>
      <b/>
      <sz val="16"/>
      <color indexed="10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>
        <color indexed="16"/>
      </top>
      <bottom>
        <color indexed="63"/>
      </bottom>
    </border>
    <border>
      <left style="double"/>
      <right>
        <color indexed="63"/>
      </right>
      <top style="medium">
        <color indexed="16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double"/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 style="double"/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double"/>
      <right style="medium">
        <color indexed="16"/>
      </right>
      <top style="medium">
        <color indexed="16"/>
      </top>
      <bottom>
        <color indexed="63"/>
      </bottom>
    </border>
    <border>
      <left style="double"/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 style="double"/>
      <top style="double"/>
      <bottom>
        <color indexed="63"/>
      </bottom>
    </border>
    <border>
      <left style="medium">
        <color indexed="16"/>
      </left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double"/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 style="double"/>
    </border>
    <border>
      <left style="double"/>
      <right style="medium">
        <color indexed="16"/>
      </right>
      <top style="double"/>
      <bottom>
        <color indexed="63"/>
      </bottom>
    </border>
    <border>
      <left style="double"/>
      <right style="medium">
        <color indexed="16"/>
      </right>
      <top>
        <color indexed="63"/>
      </top>
      <bottom>
        <color indexed="63"/>
      </bottom>
    </border>
    <border>
      <left style="double"/>
      <right style="medium">
        <color indexed="16"/>
      </right>
      <top>
        <color indexed="63"/>
      </top>
      <bottom style="double"/>
    </border>
    <border>
      <left style="medium">
        <color indexed="16"/>
      </left>
      <right style="medium">
        <color indexed="16"/>
      </right>
      <top>
        <color indexed="63"/>
      </top>
      <bottom style="double"/>
    </border>
    <border>
      <left style="double"/>
      <right style="thin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thin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double"/>
      <top style="hair">
        <color indexed="16"/>
      </top>
      <bottom style="hair">
        <color indexed="16"/>
      </bottom>
    </border>
    <border>
      <left style="double"/>
      <right style="thin">
        <color indexed="16"/>
      </right>
      <top style="hair">
        <color indexed="16"/>
      </top>
      <bottom style="double"/>
    </border>
    <border>
      <left style="thin">
        <color indexed="16"/>
      </left>
      <right style="thin">
        <color indexed="16"/>
      </right>
      <top style="hair">
        <color indexed="16"/>
      </top>
      <bottom style="double"/>
    </border>
    <border>
      <left style="thin">
        <color indexed="16"/>
      </left>
      <right style="double"/>
      <top style="hair">
        <color indexed="16"/>
      </top>
      <bottom style="double"/>
    </border>
    <border>
      <left style="thin">
        <color indexed="16"/>
      </left>
      <right style="thin">
        <color indexed="16"/>
      </right>
      <top>
        <color indexed="63"/>
      </top>
      <bottom style="hair">
        <color indexed="16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>
        <color indexed="16"/>
      </left>
      <right style="thin">
        <color indexed="16"/>
      </right>
      <top style="hair">
        <color indexed="16"/>
      </top>
      <bottom style="thick">
        <color indexed="16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>
        <color indexed="16"/>
      </bottom>
    </border>
    <border>
      <left style="double"/>
      <right style="thin">
        <color indexed="16"/>
      </right>
      <top>
        <color indexed="63"/>
      </top>
      <bottom style="hair">
        <color indexed="16"/>
      </bottom>
    </border>
    <border>
      <left style="thin">
        <color indexed="16"/>
      </left>
      <right style="double"/>
      <top>
        <color indexed="63"/>
      </top>
      <bottom style="hair">
        <color indexed="16"/>
      </bottom>
    </border>
    <border>
      <left style="thin">
        <color indexed="16"/>
      </left>
      <right style="thin">
        <color indexed="16"/>
      </right>
      <top style="thin"/>
      <bottom style="hair">
        <color indexed="16"/>
      </bottom>
    </border>
    <border>
      <left style="thin"/>
      <right style="thin">
        <color indexed="16"/>
      </right>
      <top>
        <color indexed="63"/>
      </top>
      <bottom style="hair">
        <color indexed="16"/>
      </bottom>
    </border>
    <border>
      <left style="thin"/>
      <right style="thin">
        <color indexed="16"/>
      </right>
      <top style="hair">
        <color indexed="16"/>
      </top>
      <bottom style="hair">
        <color indexed="16"/>
      </bottom>
    </border>
    <border>
      <left style="thin"/>
      <right style="thin">
        <color indexed="16"/>
      </right>
      <top style="hair">
        <color indexed="16"/>
      </top>
      <bottom style="thick">
        <color indexed="16"/>
      </bottom>
    </border>
    <border>
      <left style="thin"/>
      <right style="thin">
        <color indexed="16"/>
      </right>
      <top>
        <color indexed="63"/>
      </top>
      <bottom style="thin"/>
    </border>
    <border>
      <left style="thin">
        <color indexed="16"/>
      </left>
      <right style="thin">
        <color indexed="16"/>
      </right>
      <top>
        <color indexed="63"/>
      </top>
      <bottom style="thin"/>
    </border>
    <border>
      <left style="thin">
        <color indexed="16"/>
      </left>
      <right style="thin"/>
      <top>
        <color indexed="63"/>
      </top>
      <bottom style="hair">
        <color indexed="16"/>
      </bottom>
    </border>
    <border>
      <left style="thin">
        <color indexed="16"/>
      </left>
      <right style="thin"/>
      <top style="hair">
        <color indexed="16"/>
      </top>
      <bottom style="hair">
        <color indexed="16"/>
      </bottom>
    </border>
    <border>
      <left style="thin">
        <color indexed="16"/>
      </left>
      <right style="thin"/>
      <top style="hair">
        <color indexed="16"/>
      </top>
      <bottom style="thick">
        <color indexed="16"/>
      </bottom>
    </border>
    <border>
      <left style="thin">
        <color indexed="16"/>
      </left>
      <right style="thin"/>
      <top>
        <color indexed="63"/>
      </top>
      <bottom style="thin"/>
    </border>
    <border>
      <left style="thin"/>
      <right style="thin">
        <color indexed="16"/>
      </right>
      <top style="thin"/>
      <bottom style="hair">
        <color indexed="16"/>
      </bottom>
    </border>
    <border>
      <left style="thin"/>
      <right style="thin">
        <color indexed="16"/>
      </right>
      <top style="hair">
        <color indexed="16"/>
      </top>
      <bottom style="medium">
        <color indexed="16"/>
      </bottom>
    </border>
    <border>
      <left style="double"/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hair">
        <color indexed="16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16"/>
      </right>
      <top>
        <color indexed="63"/>
      </top>
      <bottom style="double"/>
    </border>
    <border>
      <left style="double"/>
      <right>
        <color indexed="63"/>
      </right>
      <top style="double"/>
      <bottom style="medium">
        <color indexed="16"/>
      </bottom>
    </border>
    <border>
      <left>
        <color indexed="63"/>
      </left>
      <right>
        <color indexed="63"/>
      </right>
      <top style="double"/>
      <bottom style="medium">
        <color indexed="16"/>
      </bottom>
    </border>
    <border>
      <left>
        <color indexed="63"/>
      </left>
      <right style="double"/>
      <top style="double"/>
      <bottom style="medium">
        <color indexed="1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thin">
        <color indexed="16"/>
      </left>
      <right>
        <color indexed="63"/>
      </right>
      <top style="hair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hair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hair">
        <color indexed="16"/>
      </top>
      <bottom style="medium">
        <color indexed="16"/>
      </bottom>
    </border>
    <border>
      <left style="thin">
        <color indexed="16"/>
      </left>
      <right style="thin"/>
      <top style="thin"/>
      <bottom style="hair">
        <color indexed="16"/>
      </bottom>
    </border>
    <border>
      <left style="thin">
        <color indexed="16"/>
      </left>
      <right style="thin"/>
      <top style="hair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thin"/>
      <top style="hair">
        <color indexed="16"/>
      </top>
      <bottom style="hair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13" xfId="0" applyFont="1" applyBorder="1" applyAlignment="1">
      <alignment/>
    </xf>
    <xf numFmtId="0" fontId="13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9" xfId="0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35" xfId="0" applyFont="1" applyBorder="1" applyAlignment="1">
      <alignment/>
    </xf>
    <xf numFmtId="0" fontId="3" fillId="0" borderId="36" xfId="0" applyFont="1" applyBorder="1" applyAlignment="1" applyProtection="1">
      <alignment horizontal="center" vertical="center"/>
      <protection/>
    </xf>
    <xf numFmtId="0" fontId="19" fillId="2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/>
    </xf>
    <xf numFmtId="0" fontId="10" fillId="0" borderId="39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5" fillId="4" borderId="4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40" xfId="0" applyFont="1" applyBorder="1" applyAlignment="1">
      <alignment/>
    </xf>
    <xf numFmtId="0" fontId="10" fillId="4" borderId="4" xfId="0" applyFont="1" applyFill="1" applyBorder="1" applyAlignment="1">
      <alignment/>
    </xf>
    <xf numFmtId="0" fontId="0" fillId="0" borderId="42" xfId="0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4" borderId="44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0" fillId="0" borderId="49" xfId="0" applyFont="1" applyBorder="1" applyAlignment="1">
      <alignment/>
    </xf>
    <xf numFmtId="0" fontId="10" fillId="0" borderId="35" xfId="0" applyFont="1" applyBorder="1" applyAlignment="1" applyProtection="1">
      <alignment horizontal="center"/>
      <protection/>
    </xf>
    <xf numFmtId="0" fontId="10" fillId="5" borderId="35" xfId="0" applyFont="1" applyFill="1" applyBorder="1" applyAlignment="1">
      <alignment horizontal="center"/>
    </xf>
    <xf numFmtId="0" fontId="12" fillId="5" borderId="35" xfId="0" applyFont="1" applyFill="1" applyBorder="1" applyAlignment="1">
      <alignment horizontal="center"/>
    </xf>
    <xf numFmtId="0" fontId="2" fillId="6" borderId="50" xfId="0" applyFont="1" applyFill="1" applyBorder="1" applyAlignment="1">
      <alignment horizontal="center"/>
    </xf>
    <xf numFmtId="0" fontId="10" fillId="0" borderId="30" xfId="0" applyFont="1" applyBorder="1" applyAlignment="1" applyProtection="1">
      <alignment horizontal="center"/>
      <protection/>
    </xf>
    <xf numFmtId="0" fontId="10" fillId="5" borderId="30" xfId="0" applyFont="1" applyFill="1" applyBorder="1" applyAlignment="1">
      <alignment horizontal="center"/>
    </xf>
    <xf numFmtId="0" fontId="12" fillId="5" borderId="30" xfId="0" applyFont="1" applyFill="1" applyBorder="1" applyAlignment="1">
      <alignment horizontal="center"/>
    </xf>
    <xf numFmtId="0" fontId="2" fillId="6" borderId="51" xfId="0" applyFont="1" applyFill="1" applyBorder="1" applyAlignment="1">
      <alignment horizontal="center"/>
    </xf>
    <xf numFmtId="0" fontId="10" fillId="0" borderId="39" xfId="0" applyFont="1" applyBorder="1" applyAlignment="1" applyProtection="1">
      <alignment horizontal="center"/>
      <protection/>
    </xf>
    <xf numFmtId="0" fontId="10" fillId="5" borderId="39" xfId="0" applyFont="1" applyFill="1" applyBorder="1" applyAlignment="1">
      <alignment horizontal="center"/>
    </xf>
    <xf numFmtId="0" fontId="2" fillId="6" borderId="52" xfId="0" applyFont="1" applyFill="1" applyBorder="1" applyAlignment="1">
      <alignment horizontal="center"/>
    </xf>
    <xf numFmtId="0" fontId="10" fillId="0" borderId="49" xfId="0" applyFont="1" applyBorder="1" applyAlignment="1" applyProtection="1">
      <alignment horizontal="center"/>
      <protection/>
    </xf>
    <xf numFmtId="0" fontId="10" fillId="5" borderId="49" xfId="0" applyFont="1" applyFill="1" applyBorder="1" applyAlignment="1">
      <alignment horizontal="center"/>
    </xf>
    <xf numFmtId="0" fontId="2" fillId="6" borderId="53" xfId="0" applyFont="1" applyFill="1" applyBorder="1" applyAlignment="1">
      <alignment horizontal="center"/>
    </xf>
    <xf numFmtId="0" fontId="0" fillId="3" borderId="46" xfId="0" applyFill="1" applyBorder="1" applyAlignment="1">
      <alignment/>
    </xf>
    <xf numFmtId="0" fontId="31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0" fontId="3" fillId="4" borderId="54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6" fillId="7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textRotation="90" wrapText="1" shrinkToFit="1"/>
    </xf>
    <xf numFmtId="0" fontId="10" fillId="0" borderId="4" xfId="0" applyFont="1" applyBorder="1" applyAlignment="1">
      <alignment/>
    </xf>
    <xf numFmtId="0" fontId="2" fillId="0" borderId="56" xfId="0" applyFont="1" applyBorder="1" applyAlignment="1">
      <alignment horizontal="right"/>
    </xf>
    <xf numFmtId="0" fontId="2" fillId="0" borderId="57" xfId="0" applyFont="1" applyBorder="1" applyAlignment="1">
      <alignment horizontal="right"/>
    </xf>
    <xf numFmtId="0" fontId="2" fillId="0" borderId="58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29" fillId="5" borderId="60" xfId="0" applyFont="1" applyFill="1" applyBorder="1" applyAlignment="1">
      <alignment horizontal="center" vertical="center"/>
    </xf>
    <xf numFmtId="0" fontId="29" fillId="5" borderId="61" xfId="0" applyFont="1" applyFill="1" applyBorder="1" applyAlignment="1">
      <alignment horizontal="center" vertical="center"/>
    </xf>
    <xf numFmtId="0" fontId="29" fillId="5" borderId="62" xfId="0" applyFont="1" applyFill="1" applyBorder="1" applyAlignment="1">
      <alignment horizontal="center" vertical="center"/>
    </xf>
    <xf numFmtId="0" fontId="5" fillId="7" borderId="63" xfId="0" applyFont="1" applyFill="1" applyBorder="1" applyAlignment="1">
      <alignment horizontal="center"/>
    </xf>
    <xf numFmtId="0" fontId="5" fillId="7" borderId="64" xfId="0" applyFont="1" applyFill="1" applyBorder="1" applyAlignment="1">
      <alignment horizontal="center"/>
    </xf>
    <xf numFmtId="0" fontId="3" fillId="7" borderId="65" xfId="0" applyFont="1" applyFill="1" applyBorder="1" applyAlignment="1">
      <alignment horizontal="left"/>
    </xf>
    <xf numFmtId="0" fontId="3" fillId="7" borderId="66" xfId="0" applyFont="1" applyFill="1" applyBorder="1" applyAlignment="1">
      <alignment horizontal="left"/>
    </xf>
    <xf numFmtId="0" fontId="3" fillId="7" borderId="67" xfId="0" applyFont="1" applyFill="1" applyBorder="1" applyAlignment="1">
      <alignment horizontal="left"/>
    </xf>
    <xf numFmtId="0" fontId="3" fillId="4" borderId="44" xfId="0" applyFont="1" applyFill="1" applyBorder="1" applyAlignment="1" applyProtection="1">
      <alignment horizontal="center" vertical="center" wrapText="1"/>
      <protection/>
    </xf>
    <xf numFmtId="0" fontId="2" fillId="4" borderId="68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5" fillId="5" borderId="60" xfId="0" applyFont="1" applyFill="1" applyBorder="1" applyAlignment="1">
      <alignment horizontal="center" vertical="center"/>
    </xf>
    <xf numFmtId="0" fontId="25" fillId="5" borderId="61" xfId="0" applyFont="1" applyFill="1" applyBorder="1" applyAlignment="1">
      <alignment horizontal="center" vertical="center"/>
    </xf>
    <xf numFmtId="0" fontId="25" fillId="5" borderId="62" xfId="0" applyFont="1" applyFill="1" applyBorder="1" applyAlignment="1">
      <alignment horizontal="center" vertical="center"/>
    </xf>
    <xf numFmtId="0" fontId="2" fillId="4" borderId="69" xfId="0" applyFont="1" applyFill="1" applyBorder="1" applyAlignment="1" applyProtection="1">
      <alignment horizontal="center" vertical="center" wrapText="1"/>
      <protection/>
    </xf>
    <xf numFmtId="0" fontId="2" fillId="4" borderId="70" xfId="0" applyFont="1" applyFill="1" applyBorder="1" applyAlignment="1" applyProtection="1">
      <alignment horizontal="center" vertical="center" wrapText="1"/>
      <protection/>
    </xf>
    <xf numFmtId="0" fontId="3" fillId="3" borderId="71" xfId="0" applyFont="1" applyFill="1" applyBorder="1" applyAlignment="1">
      <alignment horizontal="left"/>
    </xf>
    <xf numFmtId="0" fontId="3" fillId="3" borderId="72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center" vertical="center" textRotation="90" wrapText="1"/>
    </xf>
    <xf numFmtId="0" fontId="16" fillId="3" borderId="4" xfId="0" applyFont="1" applyFill="1" applyBorder="1" applyAlignment="1">
      <alignment horizontal="center" vertical="center" textRotation="90" wrapText="1" shrinkToFi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I32"/>
  <sheetViews>
    <sheetView showZeros="0" tabSelected="1" zoomScale="75" zoomScaleNormal="75" workbookViewId="0" topLeftCell="A3">
      <selection activeCell="F19" sqref="F19"/>
    </sheetView>
  </sheetViews>
  <sheetFormatPr defaultColWidth="9.140625" defaultRowHeight="12.75"/>
  <cols>
    <col min="1" max="1" width="12.140625" style="0" customWidth="1"/>
    <col min="2" max="2" width="26.00390625" style="0" customWidth="1"/>
    <col min="3" max="3" width="22.8515625" style="0" customWidth="1"/>
    <col min="4" max="4" width="22.421875" style="0" customWidth="1"/>
    <col min="5" max="5" width="11.7109375" style="0" customWidth="1"/>
    <col min="6" max="7" width="12.7109375" style="0" customWidth="1"/>
    <col min="8" max="8" width="13.28125" style="0" customWidth="1"/>
  </cols>
  <sheetData>
    <row r="1" spans="1:8" ht="22.5" customHeight="1">
      <c r="A1" s="96" t="s">
        <v>20</v>
      </c>
      <c r="B1" s="96"/>
      <c r="C1" s="96"/>
      <c r="D1" s="96"/>
      <c r="E1" s="96"/>
      <c r="F1" s="96"/>
      <c r="G1" s="96"/>
      <c r="H1" s="96"/>
    </row>
    <row r="2" spans="1:8" ht="13.5" thickBot="1">
      <c r="A2" s="1"/>
      <c r="B2" s="1"/>
      <c r="C2" s="1"/>
      <c r="D2" s="1"/>
      <c r="E2" s="1"/>
      <c r="F2" s="1"/>
      <c r="G2" s="1"/>
      <c r="H2" s="1"/>
    </row>
    <row r="3" spans="1:6" s="3" customFormat="1" ht="23.25" customHeight="1" thickBot="1" thickTop="1">
      <c r="A3" s="67"/>
      <c r="B3" s="53" t="s">
        <v>0</v>
      </c>
      <c r="C3" s="52">
        <v>3</v>
      </c>
      <c r="D3" s="67"/>
      <c r="E3" s="67"/>
      <c r="F3" s="67"/>
    </row>
    <row r="4" spans="1:8" ht="21" thickBot="1" thickTop="1">
      <c r="A4" s="1"/>
      <c r="B4" s="92">
        <f>IF(C3&lt;1,"ΛΑΘΟΣ ΕΠΙΛΟΓΗ ΑΡΙΘΜΟΥ από 1-4",IF(C3&gt;4,"ΛΑΘΟΣ ΕΠΙΛΟΓΗ ΑΡΙΘΜΟΥ από 1-4",IF(C5&lt;1,"ΛΑΘΟΣ ΕΠΙΛΟΓΗ ΑΡΙΘΜΟΥ από 1-4",IF(C5&gt;4,"ΛΑΘΟΣ ΕΠΙΛΟΓΗ ΑΡΙΘΜΟΥ από 1-4",))))</f>
        <v>0</v>
      </c>
      <c r="E4" s="97" t="s">
        <v>16</v>
      </c>
      <c r="F4" s="97"/>
      <c r="G4" s="1"/>
      <c r="H4" s="1"/>
    </row>
    <row r="5" spans="1:8" s="3" customFormat="1" ht="24" customHeight="1" thickBot="1" thickTop="1">
      <c r="A5" s="67"/>
      <c r="B5" s="53" t="s">
        <v>1</v>
      </c>
      <c r="C5" s="52">
        <v>2</v>
      </c>
      <c r="D5" s="67"/>
      <c r="E5" s="67"/>
      <c r="H5" s="67"/>
    </row>
    <row r="6" spans="1:8" s="3" customFormat="1" ht="14.25" customHeight="1" thickTop="1">
      <c r="A6" s="67"/>
      <c r="B6" s="6"/>
      <c r="C6" s="7"/>
      <c r="D6" s="67"/>
      <c r="E6" s="67"/>
      <c r="F6" s="67"/>
      <c r="G6" s="67"/>
      <c r="H6" s="67"/>
    </row>
    <row r="7" spans="2:8" s="3" customFormat="1" ht="18.75" customHeight="1">
      <c r="B7" s="98" t="str">
        <f>IF(C3=1,"ΘΕΩΡΗΤΙΚΗ ΚΑΤΕΥΘΥΝΣΗ",IF(C3=2,"ΘΕΤΙΚΗ ΚΑΤΕΥΘΥΝΣΗ",IF(C3=3,"ΤΕΧΝΟΛΟΓΙΚΗ ΚΑΤΕΥΘΥΝΣΗ (Κύκλος Πληροφορικής)","ΤΕΧΝΟΛΟΓΙΚΗ ΚΑΤΕΥΘΥΝΣΗ (Κύκλος Τεχνολογίας)")))</f>
        <v>ΤΕΧΝΟΛΟΓΙΚΗ ΚΑΤΕΥΘΥΝΣΗ (Κύκλος Πληροφορικής)</v>
      </c>
      <c r="C7" s="98"/>
      <c r="D7" s="98"/>
      <c r="E7" s="98"/>
      <c r="F7" s="67"/>
      <c r="G7" s="67"/>
      <c r="H7" s="67"/>
    </row>
    <row r="8" spans="1:8" ht="12.75">
      <c r="A8" s="1"/>
      <c r="B8" s="1"/>
      <c r="C8" s="2"/>
      <c r="D8" s="1"/>
      <c r="E8" s="1"/>
      <c r="F8" s="1"/>
      <c r="G8" s="1"/>
      <c r="H8" s="1"/>
    </row>
    <row r="9" spans="1:9" s="4" customFormat="1" ht="38.25" customHeight="1">
      <c r="A9" s="94" t="s">
        <v>2</v>
      </c>
      <c r="B9" s="70" t="s">
        <v>3</v>
      </c>
      <c r="C9" s="71" t="s">
        <v>17</v>
      </c>
      <c r="D9" s="71" t="s">
        <v>18</v>
      </c>
      <c r="E9" s="113" t="s">
        <v>22</v>
      </c>
      <c r="F9" s="115" t="s">
        <v>4</v>
      </c>
      <c r="G9" s="115" t="s">
        <v>19</v>
      </c>
      <c r="H9" s="119" t="s">
        <v>5</v>
      </c>
      <c r="I9" s="8"/>
    </row>
    <row r="10" spans="1:9" ht="15.75" thickBot="1">
      <c r="A10" s="95"/>
      <c r="B10" s="110" t="str">
        <f>IF(C3=1,"Μαθήματα Θεωρητικής Κατεύθυνσης",IF(C3=2,"Μαθήματα Θετικής Κατεύθυνσης",IF(C3=3,"Μαθήματα Τεχνολογικής Κατεύθυνσης (Κύκλος Πληροφορικής)","Μαθήματα Τεχνολογικής Κατεύθυνσης (Κύκλος Τεχνολογίας)")))</f>
        <v>Μαθήματα Τεχνολογικής Κατεύθυνσης (Κύκλος Πληροφορικής)</v>
      </c>
      <c r="C10" s="111"/>
      <c r="D10" s="112"/>
      <c r="E10" s="114"/>
      <c r="F10" s="114"/>
      <c r="G10" s="114"/>
      <c r="H10" s="120"/>
      <c r="I10" s="5"/>
    </row>
    <row r="11" spans="1:9" ht="15">
      <c r="A11" s="72">
        <v>1</v>
      </c>
      <c r="B11" s="51" t="str">
        <f>IF(C3=1,"Αρχαία Ελληνικά","Μαθηματικά")</f>
        <v>Μαθηματικά</v>
      </c>
      <c r="C11" s="77">
        <v>19</v>
      </c>
      <c r="D11" s="77">
        <v>20</v>
      </c>
      <c r="E11" s="78">
        <f>ROUND((C11+D11)/2,1)</f>
        <v>19.5</v>
      </c>
      <c r="F11" s="77">
        <v>16</v>
      </c>
      <c r="G11" s="79">
        <f>ROUND(IF(ABS(F11-E11)&lt;=2,E11,IF(F11-E11&gt;=2,F11-2,F11+2)),1)</f>
        <v>18</v>
      </c>
      <c r="H11" s="80">
        <f>ROUND((G11*0.3+F11*0.7),1)</f>
        <v>16.6</v>
      </c>
      <c r="I11" s="5"/>
    </row>
    <row r="12" spans="1:9" ht="15">
      <c r="A12" s="73">
        <f>+A11+1</f>
        <v>2</v>
      </c>
      <c r="B12" s="50" t="str">
        <f>IF(C3=1,"Ιστορία","Φυσική")</f>
        <v>Φυσική</v>
      </c>
      <c r="C12" s="81">
        <v>19</v>
      </c>
      <c r="D12" s="81">
        <v>20</v>
      </c>
      <c r="E12" s="82">
        <f aca="true" t="shared" si="0" ref="E12:E17">ROUND((C12+D12)/2,1)</f>
        <v>19.5</v>
      </c>
      <c r="F12" s="81">
        <v>16.6</v>
      </c>
      <c r="G12" s="83">
        <f aca="true" t="shared" si="1" ref="G12:G17">ROUND(IF(ABS(F12-E12)&lt;=2,E12,IF(F12-E12&gt;=2,F12-2,F12+2)),1)</f>
        <v>18.6</v>
      </c>
      <c r="H12" s="84">
        <f>ROUND((G12*0.3+F12*0.7),1)</f>
        <v>17.2</v>
      </c>
      <c r="I12" s="5"/>
    </row>
    <row r="13" spans="1:9" ht="15">
      <c r="A13" s="73">
        <f>+A12+1</f>
        <v>3</v>
      </c>
      <c r="B13" s="50" t="str">
        <f>IF(C3=1,"Νεολ. Λογοτεχνία",IF(C3=2,"Χημεία",IF(C3=3,"Ανάπτυξη Εφαρμογών","Χημεία-Βιοχημεία")))</f>
        <v>Ανάπτυξη Εφαρμογών</v>
      </c>
      <c r="C13" s="81">
        <v>18</v>
      </c>
      <c r="D13" s="81">
        <v>19</v>
      </c>
      <c r="E13" s="82">
        <f t="shared" si="0"/>
        <v>18.5</v>
      </c>
      <c r="F13" s="81">
        <v>16.6</v>
      </c>
      <c r="G13" s="83">
        <f t="shared" si="1"/>
        <v>18.5</v>
      </c>
      <c r="H13" s="84">
        <f>ROUND((G13*0.3+F13*0.7),1)</f>
        <v>17.2</v>
      </c>
      <c r="I13" s="5"/>
    </row>
    <row r="14" spans="1:9" ht="15">
      <c r="A14" s="73">
        <f>+A13+1</f>
        <v>4</v>
      </c>
      <c r="B14" s="50" t="str">
        <f>IF(C3=1,"Λατινικά",IF(C3=2,"Βιολογία",IF(C3=3,"Διοίκηση Επιχειρήσεων","Ηλεκτρολογία")))</f>
        <v>Διοίκηση Επιχειρήσεων</v>
      </c>
      <c r="C14" s="81">
        <v>20</v>
      </c>
      <c r="D14" s="81">
        <v>20</v>
      </c>
      <c r="E14" s="82">
        <f t="shared" si="0"/>
        <v>20</v>
      </c>
      <c r="F14" s="81">
        <v>17.1</v>
      </c>
      <c r="G14" s="83">
        <f t="shared" si="1"/>
        <v>19.1</v>
      </c>
      <c r="H14" s="84">
        <f>ROUND((G14*0.3+F14*0.7),1)</f>
        <v>17.7</v>
      </c>
      <c r="I14" s="5"/>
    </row>
    <row r="15" spans="1:9" ht="15">
      <c r="A15" s="91"/>
      <c r="B15" s="121" t="s">
        <v>15</v>
      </c>
      <c r="C15" s="121"/>
      <c r="D15" s="121"/>
      <c r="E15" s="121"/>
      <c r="F15" s="121"/>
      <c r="G15" s="121"/>
      <c r="H15" s="122"/>
      <c r="I15" s="5"/>
    </row>
    <row r="16" spans="1:9" ht="15">
      <c r="A16" s="73">
        <f>+A14+1</f>
        <v>5</v>
      </c>
      <c r="B16" s="50" t="s">
        <v>6</v>
      </c>
      <c r="C16" s="81">
        <v>17</v>
      </c>
      <c r="D16" s="81">
        <v>19</v>
      </c>
      <c r="E16" s="82">
        <f t="shared" si="0"/>
        <v>18</v>
      </c>
      <c r="F16" s="81">
        <v>15.9</v>
      </c>
      <c r="G16" s="82">
        <f t="shared" si="1"/>
        <v>17.9</v>
      </c>
      <c r="H16" s="84">
        <f>ROUND((G16*0.3+F16*0.7),1)</f>
        <v>16.5</v>
      </c>
      <c r="I16" s="5"/>
    </row>
    <row r="17" spans="1:9" ht="15.75" thickBot="1">
      <c r="A17" s="74">
        <f>+A16+1</f>
        <v>6</v>
      </c>
      <c r="B17" s="55" t="str">
        <f>IF(C5=1,"Ιστορία",IF(C5=2,"Μαθηματικά &amp; Στ. Στατιστ.",IF(C5=3,"Βιολογία","Φυσική")))</f>
        <v>Μαθηματικά &amp; Στ. Στατιστ.</v>
      </c>
      <c r="C17" s="85">
        <v>18</v>
      </c>
      <c r="D17" s="85">
        <v>20</v>
      </c>
      <c r="E17" s="86">
        <f t="shared" si="0"/>
        <v>19</v>
      </c>
      <c r="F17" s="85">
        <v>20</v>
      </c>
      <c r="G17" s="86">
        <f t="shared" si="1"/>
        <v>19</v>
      </c>
      <c r="H17" s="87">
        <f>ROUND((G17*0.3+F17*0.7),1)</f>
        <v>19.7</v>
      </c>
      <c r="I17" s="5"/>
    </row>
    <row r="18" spans="1:9" ht="15.75" thickTop="1">
      <c r="A18" s="75">
        <f>+A17+1</f>
        <v>7</v>
      </c>
      <c r="B18" s="76" t="s">
        <v>7</v>
      </c>
      <c r="C18" s="88">
        <v>20</v>
      </c>
      <c r="D18" s="88">
        <v>20</v>
      </c>
      <c r="E18" s="89">
        <f>IF((C18+D18)=0," ",ROUND((C18+D18)/2,1))</f>
        <v>20</v>
      </c>
      <c r="F18" s="88">
        <v>17.1</v>
      </c>
      <c r="G18" s="89">
        <f>IF(F18=0," ",ROUND(IF(ABS(F18-E18)&lt;=2,E18,IF(F18-E18&gt;=2,F18-2,F18+2)),1))</f>
        <v>19.1</v>
      </c>
      <c r="H18" s="90">
        <f>IF(ISNUMBER(G18),ROUND((G18*0.3+F18*0.7),1)," ")</f>
        <v>17.7</v>
      </c>
      <c r="I18" s="5"/>
    </row>
    <row r="19" spans="1:9" ht="7.5" customHeight="1" thickBot="1">
      <c r="A19" s="69"/>
      <c r="B19" s="68"/>
      <c r="C19" s="68"/>
      <c r="D19" s="68"/>
      <c r="E19" s="68"/>
      <c r="F19" s="68"/>
      <c r="G19" s="68"/>
      <c r="H19" s="68"/>
      <c r="I19" s="5"/>
    </row>
    <row r="20" spans="1:9" ht="15.75" thickBot="1">
      <c r="A20" s="69"/>
      <c r="B20" s="1"/>
      <c r="C20" s="1"/>
      <c r="D20" s="1"/>
      <c r="E20" s="108" t="s">
        <v>8</v>
      </c>
      <c r="F20" s="109"/>
      <c r="G20" s="109"/>
      <c r="H20" s="54">
        <f>ROUND(IF(H18=" ",AVERAGE(H11:H17),AVERAGE(H11:H18)),2)</f>
        <v>17.51</v>
      </c>
      <c r="I20" s="5"/>
    </row>
    <row r="21" spans="1:8" ht="7.5" customHeight="1" thickBot="1">
      <c r="A21" s="1"/>
      <c r="B21" s="1"/>
      <c r="C21" s="1"/>
      <c r="D21" s="1"/>
      <c r="E21" s="1"/>
      <c r="F21" s="1"/>
      <c r="G21" s="1"/>
      <c r="H21" s="1"/>
    </row>
    <row r="22" spans="1:8" s="3" customFormat="1" ht="16.5" customHeight="1" thickBot="1" thickTop="1">
      <c r="A22" s="67"/>
      <c r="B22" s="105" t="s">
        <v>9</v>
      </c>
      <c r="C22" s="106"/>
      <c r="D22" s="107"/>
      <c r="E22" s="67"/>
      <c r="F22" s="116" t="s">
        <v>14</v>
      </c>
      <c r="G22" s="117"/>
      <c r="H22" s="118"/>
    </row>
    <row r="23" spans="1:8" ht="12.75">
      <c r="A23" s="99" t="str">
        <f>IF(Βοηθ!C10=" ",IF(Βοηθ!C18=" ",IF(Βοηθ!C28=" ",IF(Βοηθ!C38=" "," ",Βοηθ!B37),Βοηθ!B27),Βοηθ!B17),Βοηθ!B9)</f>
        <v>Τεχνολογική Κατεύθυνση (Κύκλος Πληροφορικής)</v>
      </c>
      <c r="B23" s="64"/>
      <c r="C23" s="65" t="str">
        <f>IF(Βοηθ!D9=" ",IF(Βοηθ!D17=" ",IF(Βοηθ!D27=" ",IF(Βοηθ!D37=" "," ",Βοηθ!D37),Βοηθ!D27),Βοηθ!D17),Βοηθ!D9)</f>
        <v>Μαθηματικά x 1,3</v>
      </c>
      <c r="D23" s="66" t="str">
        <f>IF(Βοηθ!E9=" ",IF(Βοηθ!E17=" ",IF(Βοηθ!E27=" ",IF(Βοηθ!E37=" "," ",Βοηθ!E37),Βοηθ!E27),Βοηθ!E17),Βοηθ!E9)</f>
        <v>Φυσική x 0,7</v>
      </c>
      <c r="E23" s="1"/>
      <c r="F23" s="61"/>
      <c r="G23" s="62"/>
      <c r="H23" s="63"/>
    </row>
    <row r="24" spans="1:8" ht="15">
      <c r="A24" s="100"/>
      <c r="B24" s="43" t="str">
        <f>IF(Βοηθ!C10=" ",IF(Βοηθ!C18=" ",IF(Βοηθ!C28=" ",IF(Βοηθ!C38=" "," ",Βοηθ!C38),Βοηθ!C28),Βοηθ!C18),Βοηθ!C10)</f>
        <v>2ο, 4ο Επιστημονικό Πεδίο</v>
      </c>
      <c r="C24" s="44">
        <f>IF(Βοηθ!D10=0,IF(Βοηθ!D18=0,IF(Βοηθ!D28=0,IF(Βοηθ!D38=0,0,Βοηθ!D38),Βοηθ!D28),Βοηθ!D18),Βοηθ!D10)</f>
        <v>21.580000000000002</v>
      </c>
      <c r="D24" s="45">
        <f>IF(Βοηθ!E10=0,IF(Βοηθ!E18=0,IF(Βοηθ!E28=0,IF(Βοηθ!E38=0,0,Βοηθ!E38),Βοηθ!E28),Βοηθ!E18),Βοηθ!E10)</f>
        <v>12.04</v>
      </c>
      <c r="E24" s="1"/>
      <c r="F24" s="101" t="str">
        <f>+B24</f>
        <v>2ο, 4ο Επιστημονικό Πεδίο</v>
      </c>
      <c r="G24" s="102"/>
      <c r="H24" s="58">
        <f>+IF(B24=" ",0,(H20*8+C24+D24)*100)</f>
        <v>17370</v>
      </c>
    </row>
    <row r="25" spans="1:8" ht="15">
      <c r="A25" s="100"/>
      <c r="B25" s="46"/>
      <c r="C25" s="44" t="str">
        <f>IF(Βοηθ!D11=" ",IF(Βοηθ!D19=" ",IF(Βοηθ!D29=" ",IF(Βοηθ!D39=" "," ",Βοηθ!D39),Βοηθ!D29),Βοηθ!D19),Βοηθ!D11)</f>
        <v> </v>
      </c>
      <c r="D25" s="45" t="str">
        <f>IF(Βοηθ!E11=" ",IF(Βοηθ!E19=" ",IF(Βοηθ!E29=" ",IF(Βοηθ!E39=" "," ",Βοηθ!E39),Βοηθ!E29),Βοηθ!E19),Βοηθ!E11)</f>
        <v> </v>
      </c>
      <c r="E25" s="1"/>
      <c r="F25" s="56"/>
      <c r="G25" s="57"/>
      <c r="H25" s="59"/>
    </row>
    <row r="26" spans="1:8" ht="15">
      <c r="A26" s="100"/>
      <c r="B26" s="43" t="str">
        <f>IF(Βοηθ!C12=" ",IF(Βοηθ!C20=" ",IF(Βοηθ!C30=" ",IF(Βοηθ!C40=" "," ",Βοηθ!C40),Βοηθ!C30),Βοηθ!C20),Βοηθ!C12)</f>
        <v> </v>
      </c>
      <c r="C26" s="44">
        <f>IF(Βοηθ!D12=0,IF(Βοηθ!D20=0,IF(Βοηθ!D30=0,IF(Βοηθ!D40=0,0,Βοηθ!D40),Βοηθ!D30),Βοηθ!D20),Βοηθ!D12)</f>
        <v>0</v>
      </c>
      <c r="D26" s="45">
        <f>IF(Βοηθ!E12=0,IF(Βοηθ!E20=0,IF(Βοηθ!E30=0,IF(Βοηθ!E40=0,0,Βοηθ!E40),Βοηθ!E30),Βοηθ!E20),Βοηθ!E12)</f>
        <v>0</v>
      </c>
      <c r="E26" s="1"/>
      <c r="F26" s="101" t="str">
        <f>+B26</f>
        <v> </v>
      </c>
      <c r="G26" s="102"/>
      <c r="H26" s="58">
        <f>+IF(B26=" ",0,(H20*8+C26+D26)*100)</f>
        <v>0</v>
      </c>
    </row>
    <row r="27" spans="1:8" ht="15">
      <c r="A27" s="100"/>
      <c r="B27" s="46"/>
      <c r="C27" s="44" t="str">
        <f>IF(Βοηθ!D13=" ",IF(Βοηθ!D21=" ",IF(Βοηθ!D31=" ",IF(Βοηθ!D41=" "," ",Βοηθ!D41),Βοηθ!D31),Βοηθ!D21),Βοηθ!D13)</f>
        <v> </v>
      </c>
      <c r="D27" s="45" t="str">
        <f>IF(Βοηθ!E13=" ",IF(Βοηθ!E21=" ",IF(Βοηθ!E31=" ",IF(Βοηθ!E41=" "," ",Βοηθ!E41),Βοηθ!E31),Βοηθ!E21),Βοηθ!E13)</f>
        <v> </v>
      </c>
      <c r="E27" s="1"/>
      <c r="F27" s="56"/>
      <c r="G27" s="57"/>
      <c r="H27" s="59"/>
    </row>
    <row r="28" spans="1:8" ht="15">
      <c r="A28" s="100"/>
      <c r="B28" s="43" t="str">
        <f>IF(Βοηθ!C14=" ",IF(Βοηθ!C22=" ",IF(Βοηθ!C32=" ",IF(Βοηθ!C42=" "," ",Βοηθ!C42),Βοηθ!C32),Βοηθ!C22),Βοηθ!C14)</f>
        <v> </v>
      </c>
      <c r="C28" s="44">
        <f>IF(Βοηθ!D14=0,IF(Βοηθ!D22=0,IF(Βοηθ!D32=0,IF(Βοηθ!D42=0,0,Βοηθ!D42),Βοηθ!D32),Βοηθ!D22),Βοηθ!D14)</f>
        <v>0</v>
      </c>
      <c r="D28" s="45">
        <f>IF(Βοηθ!E14=0,IF(Βοηθ!E22=0,IF(Βοηθ!E32=0,IF(Βοηθ!E42=0,0,Βοηθ!E42),Βοηθ!E32),Βοηθ!E22),Βοηθ!E14)</f>
        <v>0</v>
      </c>
      <c r="E28" s="1"/>
      <c r="F28" s="101" t="str">
        <f>+B28</f>
        <v> </v>
      </c>
      <c r="G28" s="102"/>
      <c r="H28" s="58">
        <f>+IF(B28=" ",0,(H20*8+C28+D28)*100)</f>
        <v>0</v>
      </c>
    </row>
    <row r="29" spans="1:8" ht="15">
      <c r="A29" s="100"/>
      <c r="B29" s="43"/>
      <c r="C29" s="44" t="str">
        <f>IF(Βοηθ!D23=" ",IF(Βοηθ!D33=" ",IF(Βοηθ!D43=" "," ",Βοηθ!D43),Βοηθ!D33),Βοηθ!D23)</f>
        <v>Αρχ. Οικονομ. Θ. x 1,3</v>
      </c>
      <c r="D29" s="45" t="str">
        <f>IF(Βοηθ!E23=" ",IF(Βοηθ!E33=" ",IF(Βοηθ!E43=" "," ",Βοηθ!E43),Βοηθ!E33),Βοηθ!E23)</f>
        <v>Μαθηματ &amp; Στ. Στ x 0,7</v>
      </c>
      <c r="E29" s="1"/>
      <c r="F29" s="56"/>
      <c r="G29" s="57"/>
      <c r="H29" s="59"/>
    </row>
    <row r="30" spans="1:8" ht="15.75" thickBot="1">
      <c r="A30" s="100"/>
      <c r="B30" s="47" t="str">
        <f>IF(Βοηθ!C24=" ",IF(Βοηθ!C34=" ",IF(Βοηθ!C44=" "," ",Βοηθ!C44),Βοηθ!C34),Βοηθ!C24)</f>
        <v>5ο Επιστημονικό Πεδίο</v>
      </c>
      <c r="C30" s="48">
        <f>IF(Βοηθ!D24=0,IF(Βοηθ!D34=0,IF(Βοηθ!D44=0,0,Βοηθ!D44),Βοηθ!D34),Βοηθ!D24)</f>
        <v>23.01</v>
      </c>
      <c r="D30" s="49">
        <f>IF(Βοηθ!E24=0,IF(Βοηθ!E34=0,IF(Βοηθ!E44=0,0,Βοηθ!E44),Βοηθ!E34),Βοηθ!E24)</f>
        <v>13.79</v>
      </c>
      <c r="E30" s="1"/>
      <c r="F30" s="103" t="str">
        <f>+B30</f>
        <v>5ο Επιστημονικό Πεδίο</v>
      </c>
      <c r="G30" s="104"/>
      <c r="H30" s="60">
        <f>+IF(B30=" ",0,(H20*8+C30+D30)*100)</f>
        <v>17688</v>
      </c>
    </row>
    <row r="31" spans="1:8" ht="15.75" customHeight="1" thickTop="1">
      <c r="A31" s="1"/>
      <c r="B31" s="1"/>
      <c r="C31" s="1"/>
      <c r="D31" s="1"/>
      <c r="E31" s="1"/>
      <c r="F31" s="1"/>
      <c r="G31" s="1"/>
      <c r="H31" s="1"/>
    </row>
    <row r="32" spans="1:8" ht="10.5" customHeight="1">
      <c r="A32" s="93" t="s">
        <v>21</v>
      </c>
      <c r="B32" s="1"/>
      <c r="C32" s="1"/>
      <c r="D32" s="1"/>
      <c r="E32" s="1"/>
      <c r="F32" s="1"/>
      <c r="G32" s="1"/>
      <c r="H32" s="1"/>
    </row>
    <row r="33" ht="13.5" customHeight="1"/>
  </sheetData>
  <sheetProtection password="DE9A" sheet="1" objects="1" scenarios="1"/>
  <protectedRanges>
    <protectedRange sqref="C3 C5 C11:D14 F11:F14 C16:D18 F16:F18" name="Περιοχή1"/>
  </protectedRanges>
  <mergeCells count="18">
    <mergeCell ref="B22:D22"/>
    <mergeCell ref="E20:G20"/>
    <mergeCell ref="B10:D10"/>
    <mergeCell ref="E9:E10"/>
    <mergeCell ref="F9:F10"/>
    <mergeCell ref="G9:G10"/>
    <mergeCell ref="F22:H22"/>
    <mergeCell ref="H9:H10"/>
    <mergeCell ref="B15:H15"/>
    <mergeCell ref="A23:A30"/>
    <mergeCell ref="F24:G24"/>
    <mergeCell ref="F26:G26"/>
    <mergeCell ref="F28:G28"/>
    <mergeCell ref="F30:G30"/>
    <mergeCell ref="A9:A10"/>
    <mergeCell ref="A1:H1"/>
    <mergeCell ref="E4:F4"/>
    <mergeCell ref="B7:E7"/>
  </mergeCells>
  <printOptions/>
  <pageMargins left="0.4" right="0.18" top="0.5" bottom="0.49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B9:E44"/>
  <sheetViews>
    <sheetView workbookViewId="0" topLeftCell="A1">
      <selection activeCell="C6" sqref="C6"/>
    </sheetView>
  </sheetViews>
  <sheetFormatPr defaultColWidth="9.140625" defaultRowHeight="12.75"/>
  <cols>
    <col min="2" max="2" width="13.7109375" style="0" customWidth="1"/>
    <col min="3" max="3" width="26.421875" style="0" customWidth="1"/>
    <col min="4" max="5" width="21.7109375" style="0" customWidth="1"/>
  </cols>
  <sheetData>
    <row r="8" ht="13.5" thickBot="1"/>
    <row r="9" spans="2:5" ht="13.5" thickTop="1">
      <c r="B9" s="123" t="s">
        <v>10</v>
      </c>
      <c r="C9" s="10"/>
      <c r="D9" s="21" t="str">
        <f>IF(Μόρια!C3=1,"Αρχαία x 1,3"," ")</f>
        <v> </v>
      </c>
      <c r="E9" s="26" t="str">
        <f>IF(Μόρια!C3=1,"Ιστορία x 0,7"," ")</f>
        <v> </v>
      </c>
    </row>
    <row r="10" spans="2:5" ht="13.5" thickBot="1">
      <c r="B10" s="123"/>
      <c r="C10" s="12" t="str">
        <f>IF(Μόρια!C3=1,"1ο Επιστημονικό Πεδίο"," ")</f>
        <v> </v>
      </c>
      <c r="D10" s="22">
        <f>+IF(D9=" ",0,Μόρια!H11*1.3)</f>
        <v>0</v>
      </c>
      <c r="E10" s="27">
        <f>+IF(E9=" ",0,Μόρια!H12*0.7)</f>
        <v>0</v>
      </c>
    </row>
    <row r="11" spans="2:5" ht="12.75">
      <c r="B11" s="123"/>
      <c r="C11" s="17"/>
      <c r="D11" s="23" t="str">
        <f>IF(C12=" "," ",IF(Μόρια!C5=1," ",IF(Μόρια!C5=2,"Μαθηματ &amp; Στ. Στ x 0,9",IF(Μόρια!C5=3,"Βιολογία x 0,9"," "))))</f>
        <v> </v>
      </c>
      <c r="E11" s="28" t="str">
        <f>IF(C12=" "," ",IF(Μόρια!C5=1," ",IF(Μόρια!C5=2,"Νεοελ Γλώσσα x 0,4",IF(Μόρια!C5=3,"Νεοελ Γλώσσα x 0,4"," "))))</f>
        <v> </v>
      </c>
    </row>
    <row r="12" spans="2:5" ht="13.5" thickBot="1">
      <c r="B12" s="123"/>
      <c r="C12" s="19" t="str">
        <f>IF(Μόρια!C3&lt;&gt;1," ",IF(Μόρια!C5=1," ",IF(Μόρια!C5=2,"2ο,4ο Επιστημονικό Πεδίο",IF(Μόρια!C5=3,"3ο Επιστημονικό Πεδίο"," "))))</f>
        <v> </v>
      </c>
      <c r="D12" s="29">
        <f>IF(D11=" ",0,Μόρια!H17*0.9)</f>
        <v>0</v>
      </c>
      <c r="E12" s="20">
        <f>IF(E11=" ",0,Μόρια!H16*0.4)</f>
        <v>0</v>
      </c>
    </row>
    <row r="13" spans="2:5" ht="12.75">
      <c r="B13" s="123"/>
      <c r="C13" s="24"/>
      <c r="D13" s="30" t="str">
        <f>IF(C14=" "," ",IF(Μόρια!H18=" "," ","Αρχ. Οικονομ. Θ. x 1,3"))</f>
        <v> </v>
      </c>
      <c r="E13" s="14" t="str">
        <f>IF(C14=" "," ",IF(Μόρια!H18=" "," ","Μαθηματ &amp; Στ. Στ x 0,7"))</f>
        <v> </v>
      </c>
    </row>
    <row r="14" spans="2:5" ht="13.5" thickBot="1">
      <c r="B14" s="123"/>
      <c r="C14" s="41" t="str">
        <f>IF(Μόρια!C3&lt;&gt;1," ",IF(Μόρια!C5&lt;&gt;2," ",IF(Μόρια!H18=" "," ","5ο Επιστημονικό Πεδίο")))</f>
        <v> </v>
      </c>
      <c r="D14" s="42">
        <f>IF(D13=" ",0,Μόρια!H18*1.3)</f>
        <v>0</v>
      </c>
      <c r="E14" s="15">
        <f>IF(E13=" ",0,Μόρια!H17*0.7)</f>
        <v>0</v>
      </c>
    </row>
    <row r="15" ht="13.5" thickTop="1"/>
    <row r="16" ht="13.5" thickBot="1"/>
    <row r="17" spans="2:5" ht="13.5" customHeight="1" thickTop="1">
      <c r="B17" s="123" t="s">
        <v>11</v>
      </c>
      <c r="C17" s="38"/>
      <c r="D17" s="31" t="str">
        <f>IF(C18=" "," ",IF(Μόρια!C3=2,"Μαθηματικά x 1,3"," "))</f>
        <v> </v>
      </c>
      <c r="E17" s="11" t="str">
        <f>IF(C18=" "," ",IF(Μόρια!C3=2,"Φυσική x 0,7"," "))</f>
        <v> </v>
      </c>
    </row>
    <row r="18" spans="2:5" ht="13.5" thickBot="1">
      <c r="B18" s="123"/>
      <c r="C18" s="39" t="str">
        <f>IF(Μόρια!C3=2,"2ο, 4ο Επιστημονικό Πεδίο"," ")</f>
        <v> </v>
      </c>
      <c r="D18" s="32">
        <f>+IF(D17=" ",0,Μόρια!H11*1.3)</f>
        <v>0</v>
      </c>
      <c r="E18" s="13">
        <f>+IF(E17=" ",0,Μόρια!H12*0.7)</f>
        <v>0</v>
      </c>
    </row>
    <row r="19" spans="2:5" ht="12.75">
      <c r="B19" s="123"/>
      <c r="C19" s="40"/>
      <c r="D19" s="33" t="str">
        <f>IF(C20=" "," ",IF(Μόρια!C3=2,"Βιολογία x 1,3"," "))</f>
        <v> </v>
      </c>
      <c r="E19" s="16" t="str">
        <f>IF(C20=" "," ",IF(Μόρια!C3=2,"Χημεία x 0,7"," "))</f>
        <v> </v>
      </c>
    </row>
    <row r="20" spans="2:5" ht="13.5" thickBot="1">
      <c r="B20" s="123"/>
      <c r="C20" s="39" t="str">
        <f>IF(Μόρια!C3&lt;&gt;2," ",IF(Μόρια!C3=2,"3ο Επιστημονικό Πεδίο"," "))</f>
        <v> </v>
      </c>
      <c r="D20" s="32">
        <f>+IF(D19=" ",0,Μόρια!H14*1.3)</f>
        <v>0</v>
      </c>
      <c r="E20" s="20">
        <f>+IF(E19=" ",0,Μόρια!H13*0.7)</f>
        <v>0</v>
      </c>
    </row>
    <row r="21" spans="2:5" ht="12.75">
      <c r="B21" s="123"/>
      <c r="C21" s="24"/>
      <c r="D21" s="34" t="str">
        <f>IF(C22=" "," ",IF(Μόρια!C5=2," ",IF(Μόρια!C5=1,"Νεολ Γλώσσα x 0,9")))</f>
        <v> </v>
      </c>
      <c r="E21" s="14" t="str">
        <f>IF(C22=" "," ",IF(Μόρια!C5=2," ",IF(Μόρια!C5=1,"Ιστορία x 0,4")))</f>
        <v> </v>
      </c>
    </row>
    <row r="22" spans="2:5" ht="13.5" thickBot="1">
      <c r="B22" s="123"/>
      <c r="C22" s="25" t="str">
        <f>IF(Μόρια!C3&lt;&gt;2," ",IF(Μόρια!C5=2," ",IF(Μόρια!C5=1,"1ο Επιστημονικό Πεδίο",IF(Μόρια!C5=3," "," "))))</f>
        <v> </v>
      </c>
      <c r="D22" s="35">
        <f>IF(D21=" ",0,Μόρια!H16*0.9)</f>
        <v>0</v>
      </c>
      <c r="E22" s="13">
        <f>IF(E21=" ",0,Μόρια!H17*0.4)</f>
        <v>0</v>
      </c>
    </row>
    <row r="23" spans="2:5" ht="12.75">
      <c r="B23" s="123"/>
      <c r="C23" s="24"/>
      <c r="D23" s="36" t="str">
        <f>IF(C24=" "," ",IF(Μόρια!H18=" "," ","Αρχ. Οικονομ. Θ. x 1,3"))</f>
        <v> </v>
      </c>
      <c r="E23" s="18" t="str">
        <f>IF(C24=" "," ",IF(Μόρια!H18=" "," ","Μαθηματ &amp; Στ. Στ x 0,7"))</f>
        <v> </v>
      </c>
    </row>
    <row r="24" spans="2:5" ht="13.5" thickBot="1">
      <c r="B24" s="123"/>
      <c r="C24" s="41" t="str">
        <f>IF(Μόρια!C3&lt;&gt;2," ",IF(Μόρια!C5&lt;&gt;2," ",IF(Μόρια!H18=" "," ","5ο Επιστημονικό Πεδίο")))</f>
        <v> </v>
      </c>
      <c r="D24" s="37">
        <f>IF(D23=" ",0,Μόρια!H18*1.3)</f>
        <v>0</v>
      </c>
      <c r="E24" s="15">
        <f>IF(E23=" ",0,Μόρια!H17*0.7)</f>
        <v>0</v>
      </c>
    </row>
    <row r="25" ht="13.5" thickTop="1">
      <c r="B25" s="9"/>
    </row>
    <row r="26" ht="13.5" thickBot="1"/>
    <row r="27" spans="2:5" ht="13.5" thickTop="1">
      <c r="B27" s="124" t="s">
        <v>12</v>
      </c>
      <c r="C27" s="38"/>
      <c r="D27" s="31" t="str">
        <f>IF(C28=" "," ",IF(Μόρια!C3=3,"Μαθηματικά x 1,3"," "))</f>
        <v>Μαθηματικά x 1,3</v>
      </c>
      <c r="E27" s="11" t="str">
        <f>IF(C28=" "," ",IF(Μόρια!C3=3,"Φυσική x 0,7"," "))</f>
        <v>Φυσική x 0,7</v>
      </c>
    </row>
    <row r="28" spans="2:5" ht="13.5" thickBot="1">
      <c r="B28" s="124"/>
      <c r="C28" s="39" t="str">
        <f>IF(Μόρια!C3=3,"2ο, 4ο Επιστημονικό Πεδίο"," ")</f>
        <v>2ο, 4ο Επιστημονικό Πεδίο</v>
      </c>
      <c r="D28" s="32">
        <f>+IF(D27=" ",0,Μόρια!H11*1.3)</f>
        <v>21.580000000000002</v>
      </c>
      <c r="E28" s="13">
        <f>+IF(E27=" ",0,Μόρια!H12*0.7)</f>
        <v>12.04</v>
      </c>
    </row>
    <row r="29" spans="2:5" ht="12.75">
      <c r="B29" s="124"/>
      <c r="C29" s="40"/>
      <c r="D29" s="33" t="str">
        <f>IF(C30=" "," ",IF(Μόρια!C5=3,"Βιολογία x 0,9"," "))</f>
        <v> </v>
      </c>
      <c r="E29" s="16" t="str">
        <f>IF(C30=" "," ",IF(Μόρια!C5=3,"Νεολ. Γλώσσα x 0,4"," "))</f>
        <v> </v>
      </c>
    </row>
    <row r="30" spans="2:5" ht="13.5" thickBot="1">
      <c r="B30" s="124"/>
      <c r="C30" s="39" t="str">
        <f>IF(Μόρια!C3&lt;&gt;3," ",IF(Μόρια!C5=3,"3ο Επιστημονικό Πεδίο"," "))</f>
        <v> </v>
      </c>
      <c r="D30" s="32">
        <f>+IF(D29=" ",0,Μόρια!H17*0.9)</f>
        <v>0</v>
      </c>
      <c r="E30" s="20">
        <f>+IF(E29=" ",0,Μόρια!H16*0.4)</f>
        <v>0</v>
      </c>
    </row>
    <row r="31" spans="2:5" ht="12.75">
      <c r="B31" s="124"/>
      <c r="C31" s="24"/>
      <c r="D31" s="34" t="str">
        <f>IF(C32=" "," ",IF(Μόρια!C5=1,"Νεολ Γλώσσα x 0,9"," "))</f>
        <v> </v>
      </c>
      <c r="E31" s="14" t="str">
        <f>IF(C32=" "," ",IF(Μόρια!C5=1,"Ιστορία x 0,4"," "))</f>
        <v> </v>
      </c>
    </row>
    <row r="32" spans="2:5" ht="13.5" thickBot="1">
      <c r="B32" s="124"/>
      <c r="C32" s="25" t="str">
        <f>IF(Μόρια!C3&lt;&gt;3," ",IF(Μόρια!C5=1,"1ο Επιστημονικό Πεδίο"," "))</f>
        <v> </v>
      </c>
      <c r="D32" s="35">
        <f>IF(D31=" ",0,Μόρια!H16*0.9)</f>
        <v>0</v>
      </c>
      <c r="E32" s="13">
        <f>IF(E31=" ",0,Μόρια!H17*0.4)</f>
        <v>0</v>
      </c>
    </row>
    <row r="33" spans="2:5" ht="12.75">
      <c r="B33" s="124"/>
      <c r="C33" s="24"/>
      <c r="D33" s="36" t="str">
        <f>IF(C34=" "," ",IF(Μόρια!H18=" "," ","Αρχ. Οικονομ. Θ. x 1,3"))</f>
        <v>Αρχ. Οικονομ. Θ. x 1,3</v>
      </c>
      <c r="E33" s="18" t="str">
        <f>IF(C34=" "," ",IF(Μόρια!H18=" "," ","Μαθηματ &amp; Στ. Στ x 0,7"))</f>
        <v>Μαθηματ &amp; Στ. Στ x 0,7</v>
      </c>
    </row>
    <row r="34" spans="2:5" ht="13.5" thickBot="1">
      <c r="B34" s="124"/>
      <c r="C34" s="41" t="str">
        <f>IF(Μόρια!C3&lt;&gt;3," ",IF(Μόρια!C5&lt;&gt;2," ",IF(Μόρια!H18=" "," ","5ο Επιστημονικό Πεδίο")))</f>
        <v>5ο Επιστημονικό Πεδίο</v>
      </c>
      <c r="D34" s="37">
        <f>IF(D33=" ",0,Μόρια!H18*1.3)</f>
        <v>23.01</v>
      </c>
      <c r="E34" s="15">
        <f>IF(E33=" ",0,Μόρια!H17*0.7)</f>
        <v>13.79</v>
      </c>
    </row>
    <row r="35" ht="13.5" thickTop="1"/>
    <row r="36" ht="13.5" thickBot="1"/>
    <row r="37" spans="2:5" ht="13.5" thickTop="1">
      <c r="B37" s="124" t="s">
        <v>13</v>
      </c>
      <c r="C37" s="38"/>
      <c r="D37" s="31" t="str">
        <f>IF(C38=" "," ",IF(Μόρια!C3=4,"Μαθηματικά x 1,3"," "))</f>
        <v> </v>
      </c>
      <c r="E37" s="11" t="str">
        <f>IF(C38=" "," ",IF(Μόρια!C3=4,"Φυσική x 0,7"," "))</f>
        <v> </v>
      </c>
    </row>
    <row r="38" spans="2:5" ht="13.5" thickBot="1">
      <c r="B38" s="124"/>
      <c r="C38" s="39" t="str">
        <f>IF(Μόρια!C3=4,"2ο, 4ο Επιστημονικό Πεδίο"," ")</f>
        <v> </v>
      </c>
      <c r="D38" s="32">
        <f>+IF(D37=" ",0,Μόρια!H11*1.3)</f>
        <v>0</v>
      </c>
      <c r="E38" s="13">
        <f>+IF(E37=" ",0,Μόρια!H12*0.7)</f>
        <v>0</v>
      </c>
    </row>
    <row r="39" spans="2:5" ht="12.75">
      <c r="B39" s="124"/>
      <c r="C39" s="40"/>
      <c r="D39" s="33" t="str">
        <f>IF(C40=" "," ",IF(Μόρια!C5=3,"Βιολογία x 0,9"," "))</f>
        <v> </v>
      </c>
      <c r="E39" s="16" t="str">
        <f>IF(C40=" "," ",IF(Μόρια!C5=3,"Νεολ. Γλώσσα x 0,4"," "))</f>
        <v> </v>
      </c>
    </row>
    <row r="40" spans="2:5" ht="13.5" thickBot="1">
      <c r="B40" s="124"/>
      <c r="C40" s="39" t="str">
        <f>IF(Μόρια!C3&lt;&gt;4," ",IF(Μόρια!C5=3,"3ο Επιστημονικό Πεδίο"," "))</f>
        <v> </v>
      </c>
      <c r="D40" s="32">
        <f>+IF(D39=" ",0,Μόρια!H17*0.9)</f>
        <v>0</v>
      </c>
      <c r="E40" s="20">
        <f>+IF(E39=" ",0,Μόρια!H16*0.4)</f>
        <v>0</v>
      </c>
    </row>
    <row r="41" spans="2:5" ht="12.75">
      <c r="B41" s="124"/>
      <c r="C41" s="24"/>
      <c r="D41" s="34" t="str">
        <f>IF(C42=" "," ",IF(Μόρια!C5=1,"Νεολ Γλώσσα x 0,9"," "))</f>
        <v> </v>
      </c>
      <c r="E41" s="14" t="str">
        <f>IF(C42=" "," ",IF(Μόρια!C5=1,"Ιστορία x 0,4"," "))</f>
        <v> </v>
      </c>
    </row>
    <row r="42" spans="2:5" ht="13.5" thickBot="1">
      <c r="B42" s="124"/>
      <c r="C42" s="25" t="str">
        <f>IF(Μόρια!C3&lt;&gt;4," ",IF(Μόρια!C5=1,"1ο Επιστημονικό Πεδίο"," "))</f>
        <v> </v>
      </c>
      <c r="D42" s="35">
        <f>IF(D41=" ",0,Μόρια!H16*0.9)</f>
        <v>0</v>
      </c>
      <c r="E42" s="13">
        <f>IF(E41=" ",0,Μόρια!H17*0.4)</f>
        <v>0</v>
      </c>
    </row>
    <row r="43" spans="2:5" ht="12.75">
      <c r="B43" s="124"/>
      <c r="C43" s="24"/>
      <c r="D43" s="36" t="str">
        <f>IF(C44=" "," ",IF(Μόρια!H18=" "," ","Αρχ. Οικονομ. Θ. x 1,3"))</f>
        <v> </v>
      </c>
      <c r="E43" s="18" t="str">
        <f>IF(C44=" "," ",IF(Μόρια!H18=" "," ","Μαθηματ &amp; Στ. Στ x 0,7"))</f>
        <v> </v>
      </c>
    </row>
    <row r="44" spans="2:5" ht="13.5" thickBot="1">
      <c r="B44" s="124"/>
      <c r="C44" s="41" t="str">
        <f>IF(Μόρια!C3&lt;&gt;4," ",IF(Μόρια!C5&lt;&gt;2," ",IF(Μόρια!H18=" "," ","5ο Επιστημονικό Πεδίο")))</f>
        <v> </v>
      </c>
      <c r="D44" s="37">
        <f>IF(D43=" ",0,Μόρια!H18*1.3)</f>
        <v>0</v>
      </c>
      <c r="E44" s="15">
        <f>IF(E43=" ",0,Μόρια!H17*0.7)</f>
        <v>0</v>
      </c>
    </row>
    <row r="45" ht="13.5" thickTop="1"/>
  </sheetData>
  <sheetProtection password="DE9A" sheet="1" objects="1" scenarios="1"/>
  <mergeCells count="4">
    <mergeCell ref="B9:B14"/>
    <mergeCell ref="B17:B24"/>
    <mergeCell ref="B27:B34"/>
    <mergeCell ref="B37:B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Thetakis</dc:creator>
  <cp:keywords/>
  <dc:description/>
  <cp:lastModifiedBy>ΓΕΝΙΚΟ</cp:lastModifiedBy>
  <cp:lastPrinted>2007-06-21T11:09:42Z</cp:lastPrinted>
  <dcterms:created xsi:type="dcterms:W3CDTF">2005-11-04T14:55:33Z</dcterms:created>
  <dcterms:modified xsi:type="dcterms:W3CDTF">2007-06-26T08:21:13Z</dcterms:modified>
  <cp:category/>
  <cp:version/>
  <cp:contentType/>
  <cp:contentStatus/>
</cp:coreProperties>
</file>